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fit and Loss" r:id="rId3" sheetId="1"/>
  </sheets>
</workbook>
</file>

<file path=xl/sharedStrings.xml><?xml version="1.0" encoding="utf-8"?>
<sst xmlns="http://schemas.openxmlformats.org/spreadsheetml/2006/main" count="77" uniqueCount="77">
  <si>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</si>
  <si>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</si>
  <si>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</si>
  <si>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</si>
  <si>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</si>
  <si>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</si>
  <si>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</si>
  <si>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</si>
  <si>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1-4, 2018</t>
  </si>
  <si>
    <t>Total</t>
  </si>
  <si>
    <t>Income</t>
  </si>
  <si>
    <t xml:space="preserve">   Fee for Service Income</t>
  </si>
  <si>
    <t xml:space="preserve">   Interest Income</t>
  </si>
  <si>
    <t xml:space="preserve">   Refunds</t>
  </si>
  <si>
    <t>Total Income</t>
  </si>
  <si>
    <t>Gross Profit</t>
  </si>
  <si>
    <t>Expenses</t>
  </si>
  <si>
    <t xml:space="preserve">   Advertising and Promotion</t>
  </si>
  <si>
    <t xml:space="preserve">   Air Gas</t>
  </si>
  <si>
    <t xml:space="preserve">   Ambulance - Gas</t>
  </si>
  <si>
    <t xml:space="preserve">   Ambulance Equipment</t>
  </si>
  <si>
    <t xml:space="preserve">   Ambulance registration</t>
  </si>
  <si>
    <t xml:space="preserve">   Ambulance Repairs</t>
  </si>
  <si>
    <t xml:space="preserve">   Bank Service Charges</t>
  </si>
  <si>
    <t xml:space="preserve">   Bookkeeping</t>
  </si>
  <si>
    <t xml:space="preserve">   Communications</t>
  </si>
  <si>
    <t xml:space="preserve">   Computer and Internet Expenses</t>
  </si>
  <si>
    <t xml:space="preserve">   Continuing Education</t>
  </si>
  <si>
    <t xml:space="preserve">   Contractors</t>
  </si>
  <si>
    <t xml:space="preserve">   Dues and Subscriptions</t>
  </si>
  <si>
    <t xml:space="preserve">   Employee Gifts</t>
  </si>
  <si>
    <t xml:space="preserve">   Employee Screening</t>
  </si>
  <si>
    <t xml:space="preserve">   EZ Pass</t>
  </si>
  <si>
    <t xml:space="preserve">   Insurance - Ambulance</t>
  </si>
  <si>
    <t xml:space="preserve">   Insurance - Workers Comp</t>
  </si>
  <si>
    <t xml:space="preserve">   Insurance Expense</t>
  </si>
  <si>
    <t xml:space="preserve">   Interest - Ambulance Lease</t>
  </si>
  <si>
    <t xml:space="preserve">   Interest Expense</t>
  </si>
  <si>
    <t xml:space="preserve">   Late Fees and Penalties</t>
  </si>
  <si>
    <t xml:space="preserve">   Meals and Entertainment</t>
  </si>
  <si>
    <t xml:space="preserve">   Medical Records and Supplies</t>
  </si>
  <si>
    <t xml:space="preserve">   Miscellaneous</t>
  </si>
  <si>
    <t xml:space="preserve">   New Office Expense</t>
  </si>
  <si>
    <t xml:space="preserve">   Office expense</t>
  </si>
  <si>
    <t xml:space="preserve">   Office Supplies</t>
  </si>
  <si>
    <t xml:space="preserve">   Payroll Expenses</t>
  </si>
  <si>
    <t xml:space="preserve">      Taxes</t>
  </si>
  <si>
    <t xml:space="preserve">      Wages</t>
  </si>
  <si>
    <t xml:space="preserve">   Total Payroll Expenses</t>
  </si>
  <si>
    <t xml:space="preserve">   Postage and Shipping</t>
  </si>
  <si>
    <t xml:space="preserve">   Professional Fees</t>
  </si>
  <si>
    <t xml:space="preserve">   Recruiting</t>
  </si>
  <si>
    <t xml:space="preserve">   Reimbursements</t>
  </si>
  <si>
    <t xml:space="preserve">   Rent Expense</t>
  </si>
  <si>
    <t xml:space="preserve">      Condo Fee</t>
  </si>
  <si>
    <t xml:space="preserve">   Total Rent Expense</t>
  </si>
  <si>
    <t xml:space="preserve">   Repairs and Maintenance</t>
  </si>
  <si>
    <t xml:space="preserve">   Small Medical Equipment</t>
  </si>
  <si>
    <t xml:space="preserve">   Software - Billing</t>
  </si>
  <si>
    <t xml:space="preserve">   Software - Bookkeeping</t>
  </si>
  <si>
    <t xml:space="preserve">   Software - Office</t>
  </si>
  <si>
    <t xml:space="preserve">   Taxes and License</t>
  </si>
  <si>
    <t xml:space="preserve">      Property Tax</t>
  </si>
  <si>
    <t xml:space="preserve">   Total Taxes and License</t>
  </si>
  <si>
    <t xml:space="preserve">   Uniforms</t>
  </si>
  <si>
    <t xml:space="preserve">   Utilities</t>
  </si>
  <si>
    <t>Total Expenses</t>
  </si>
  <si>
    <t>Net Operating Income</t>
  </si>
  <si>
    <t>Other Expenses</t>
  </si>
  <si>
    <t xml:space="preserve">   Ask My Accountant</t>
  </si>
  <si>
    <t>Total Other Expenses</t>
  </si>
  <si>
    <t>Net Other Income</t>
  </si>
  <si>
    <t>Net Income</t>
  </si>
  <si>
    <t>Tuesday, Sep 04, 2018 11:47:09 AM GMT-7 - Cash Basis</t>
  </si>
  <si>
    <t>Reliance Medical Transport</t>
  </si>
  <si>
    <t>Profit and Loss</t>
  </si>
  <si>
    <t>January 1 - September 4, 2018</t>
  </si>
</sst>
</file>

<file path=xl/styles.xml><?xml version="1.0" encoding="utf-8"?>
<styleSheet xmlns="http://schemas.openxmlformats.org/spreadsheetml/2006/main">
  <numFmts count="2">
    <numFmt numFmtId="165" formatCode="#,##0.00\ _€"/>
    <numFmt numFmtId="166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5" fontId="3" fillId="0" borderId="0" xfId="0" applyNumberFormat="true" applyFont="true">
      <alignment wrapText="true"/>
    </xf>
    <xf numFmtId="165" fontId="3" fillId="0" borderId="0" xfId="0" applyNumberFormat="true" applyFont="true">
      <alignment wrapText="true" horizontal="right"/>
    </xf>
    <xf numFmtId="166" fontId="2" fillId="0" borderId="2" xfId="0" applyBorder="true" applyNumberFormat="true" applyFont="true">
      <alignment wrapText="true" horizontal="right"/>
    </xf>
    <xf numFmtId="166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29.21875" customWidth="true"/>
    <col min="2" max="2" width="10.3125" customWidth="true"/>
    <col min="3" max="3" width="10.3125" customWidth="true"/>
    <col min="4" max="4" width="10.3125" customWidth="true"/>
    <col min="5" max="5" width="10.3125" customWidth="true"/>
    <col min="6" max="6" width="10.3125" customWidth="true"/>
    <col min="7" max="7" width="10.3125" customWidth="true"/>
    <col min="8" max="8" width="10.3125" customWidth="true"/>
    <col min="9" max="9" width="10.3125" customWidth="true"/>
    <col min="10" max="10" width="7.734375" customWidth="true"/>
    <col min="11" max="11" width="12.03125" customWidth="true"/>
  </cols>
  <sheetData>
    <row r="1">
      <c r="A1" s="9" t="s">
        <v>74</v>
      </c>
      <c r="B1"/>
      <c r="C1"/>
      <c r="D1"/>
      <c r="E1"/>
      <c r="F1"/>
      <c r="G1"/>
      <c r="H1"/>
      <c r="I1"/>
      <c r="J1"/>
      <c r="K1"/>
    </row>
    <row r="2">
      <c r="A2" s="9" t="s">
        <v>75</v>
      </c>
      <c r="B2"/>
      <c r="C2"/>
      <c r="D2"/>
      <c r="E2"/>
      <c r="F2"/>
      <c r="G2"/>
      <c r="H2"/>
      <c r="I2"/>
      <c r="J2"/>
      <c r="K2"/>
    </row>
    <row r="3">
      <c r="A3" s="10" t="s">
        <v>76</v>
      </c>
      <c r="B3"/>
      <c r="C3"/>
      <c r="D3"/>
      <c r="E3"/>
      <c r="F3"/>
      <c r="G3"/>
      <c r="H3"/>
      <c r="I3"/>
      <c r="J3"/>
      <c r="K3"/>
    </row>
    <row r="5">
      <c r="A5" s="1"/>
      <c r="B5" t="s" s="2">
        <v>0</v>
      </c>
      <c r="C5" t="s" s="2">
        <v>1</v>
      </c>
      <c r="D5" t="s" s="2">
        <v>2</v>
      </c>
      <c r="E5" t="s" s="2">
        <v>3</v>
      </c>
      <c r="F5" t="s" s="2">
        <v>4</v>
      </c>
      <c r="G5" t="s" s="2">
        <v>5</v>
      </c>
      <c r="H5" t="s" s="2">
        <v>6</v>
      </c>
      <c r="I5" t="s" s="2">
        <v>7</v>
      </c>
      <c r="J5" t="s" s="2">
        <v>8</v>
      </c>
      <c r="K5" t="s" s="2">
        <v>9</v>
      </c>
    </row>
    <row r="6">
      <c r="A6" t="s" s="3">
        <v>10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>
      <c r="A7" t="s" s="3">
        <v>11</v>
      </c>
      <c r="B7" s="5">
        <f>179662.38</f>
      </c>
      <c r="C7" s="5">
        <f>223930.39</f>
      </c>
      <c r="D7" s="5">
        <f>218043.17</f>
      </c>
      <c r="E7" s="5">
        <f>243096.41</f>
      </c>
      <c r="F7" s="5">
        <f>249745.20</f>
      </c>
      <c r="G7" s="5">
        <f>193700.55</f>
      </c>
      <c r="H7" s="5">
        <f>200711.69</f>
      </c>
      <c r="I7" s="5">
        <f>256010.35</f>
      </c>
      <c r="J7" s="4"/>
      <c r="K7" s="5">
        <f>((((((((B7)+(C7))+(D7))+(E7))+(F7))+(G7))+(H7))+(I7))+(J7)</f>
      </c>
    </row>
    <row r="8">
      <c r="A8" t="s" s="3">
        <v>12</v>
      </c>
      <c r="B8" s="5">
        <f>3.65</f>
      </c>
      <c r="C8" s="5">
        <f>5.12</f>
      </c>
      <c r="D8" s="5">
        <f>7.90</f>
      </c>
      <c r="E8" s="5">
        <f>9.00</f>
      </c>
      <c r="F8" s="5">
        <f>8.82</f>
      </c>
      <c r="G8" s="5">
        <f>14.96</f>
      </c>
      <c r="H8" s="5">
        <f>14.33</f>
      </c>
      <c r="I8" s="5">
        <f>10.09</f>
      </c>
      <c r="J8" s="4"/>
      <c r="K8" s="5">
        <f>((((((((B8)+(C8))+(D8))+(E8))+(F8))+(G8))+(H8))+(I8))+(J8)</f>
      </c>
    </row>
    <row r="9">
      <c r="A9" t="s" s="3">
        <v>13</v>
      </c>
      <c r="B9" s="4"/>
      <c r="C9" s="4"/>
      <c r="D9" s="4"/>
      <c r="E9" s="4"/>
      <c r="F9" s="4"/>
      <c r="G9" s="4"/>
      <c r="H9" s="5">
        <f>-20.00</f>
      </c>
      <c r="I9" s="4"/>
      <c r="J9" s="4"/>
      <c r="K9" s="5">
        <f>((((((((B9)+(C9))+(D9))+(E9))+(F9))+(G9))+(H9))+(I9))+(J9)</f>
      </c>
    </row>
    <row r="10">
      <c r="A10" t="s" s="3">
        <v>14</v>
      </c>
      <c r="B10" s="6">
        <f>((B7)+(B8))+(B9)</f>
      </c>
      <c r="C10" s="6">
        <f>((C7)+(C8))+(C9)</f>
      </c>
      <c r="D10" s="6">
        <f>((D7)+(D8))+(D9)</f>
      </c>
      <c r="E10" s="6">
        <f>((E7)+(E8))+(E9)</f>
      </c>
      <c r="F10" s="6">
        <f>((F7)+(F8))+(F9)</f>
      </c>
      <c r="G10" s="6">
        <f>((G7)+(G8))+(G9)</f>
      </c>
      <c r="H10" s="6">
        <f>((H7)+(H8))+(H9)</f>
      </c>
      <c r="I10" s="6">
        <f>((I7)+(I8))+(I9)</f>
      </c>
      <c r="J10" s="6">
        <f>((J7)+(J8))+(J9)</f>
      </c>
      <c r="K10" s="6">
        <f>((((((((B10)+(C10))+(D10))+(E10))+(F10))+(G10))+(H10))+(I10))+(J10)</f>
      </c>
    </row>
    <row r="11">
      <c r="A11" t="s" s="3">
        <v>15</v>
      </c>
      <c r="B11" s="6">
        <f>(B10)-(0)</f>
      </c>
      <c r="C11" s="6">
        <f>(C10)-(0)</f>
      </c>
      <c r="D11" s="6">
        <f>(D10)-(0)</f>
      </c>
      <c r="E11" s="6">
        <f>(E10)-(0)</f>
      </c>
      <c r="F11" s="6">
        <f>(F10)-(0)</f>
      </c>
      <c r="G11" s="6">
        <f>(G10)-(0)</f>
      </c>
      <c r="H11" s="6">
        <f>(H10)-(0)</f>
      </c>
      <c r="I11" s="6">
        <f>(I10)-(0)</f>
      </c>
      <c r="J11" s="6">
        <f>(J10)-(0)</f>
      </c>
      <c r="K11" s="6">
        <f>((((((((B11)+(C11))+(D11))+(E11))+(F11))+(G11))+(H11))+(I11))+(J11)</f>
      </c>
    </row>
    <row r="12">
      <c r="A12" t="s" s="3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>
      <c r="A13" t="s" s="3">
        <v>17</v>
      </c>
      <c r="B13" s="5">
        <f>360.85</f>
      </c>
      <c r="C13" s="5">
        <f>1501.68</f>
      </c>
      <c r="D13" s="4"/>
      <c r="E13" s="4"/>
      <c r="F13" s="5">
        <f>72.35</f>
      </c>
      <c r="G13" s="5">
        <f>132.15</f>
      </c>
      <c r="H13" s="5">
        <f>10.01</f>
      </c>
      <c r="I13" s="4"/>
      <c r="J13" s="4"/>
      <c r="K13" s="5">
        <f>((((((((B13)+(C13))+(D13))+(E13))+(F13))+(G13))+(H13))+(I13))+(J13)</f>
      </c>
    </row>
    <row r="14">
      <c r="A14" t="s" s="3">
        <v>18</v>
      </c>
      <c r="B14" s="5">
        <f>1637.09</f>
      </c>
      <c r="C14" s="4"/>
      <c r="D14" s="5">
        <f>3806.00</f>
      </c>
      <c r="E14" s="5">
        <f>856.81</f>
      </c>
      <c r="F14" s="5">
        <f>899.01</f>
      </c>
      <c r="G14" s="5">
        <f>214.84</f>
      </c>
      <c r="H14" s="5">
        <f>1068.41</f>
      </c>
      <c r="I14" s="5">
        <f>1474.99</f>
      </c>
      <c r="J14" s="4"/>
      <c r="K14" s="5">
        <f>((((((((B14)+(C14))+(D14))+(E14))+(F14))+(G14))+(H14))+(I14))+(J14)</f>
      </c>
    </row>
    <row r="15">
      <c r="A15" t="s" s="3">
        <v>19</v>
      </c>
      <c r="B15" s="5">
        <f>7016.39</f>
      </c>
      <c r="C15" s="5">
        <f>7171.69</f>
      </c>
      <c r="D15" s="5">
        <f>6709.51</f>
      </c>
      <c r="E15" s="5">
        <f>7147.38</f>
      </c>
      <c r="F15" s="5">
        <f>7108.88</f>
      </c>
      <c r="G15" s="5">
        <f>6179.29</f>
      </c>
      <c r="H15" s="5">
        <f>7288.39</f>
      </c>
      <c r="I15" s="5">
        <f>7922.90</f>
      </c>
      <c r="J15" s="4"/>
      <c r="K15" s="5">
        <f>((((((((B15)+(C15))+(D15))+(E15))+(F15))+(G15))+(H15))+(I15))+(J15)</f>
      </c>
    </row>
    <row r="16">
      <c r="A16" t="s" s="3">
        <v>20</v>
      </c>
      <c r="B16" s="5">
        <f>543.74</f>
      </c>
      <c r="C16" s="5">
        <f>1223.94</f>
      </c>
      <c r="D16" s="5">
        <f>374.99</f>
      </c>
      <c r="E16" s="5">
        <f>39.38</f>
      </c>
      <c r="F16" s="4"/>
      <c r="G16" s="4"/>
      <c r="H16" s="4"/>
      <c r="I16" s="4"/>
      <c r="J16" s="4"/>
      <c r="K16" s="5">
        <f>((((((((B16)+(C16))+(D16))+(E16))+(F16))+(G16))+(H16))+(I16))+(J16)</f>
      </c>
    </row>
    <row r="17">
      <c r="A17" t="s" s="3">
        <v>21</v>
      </c>
      <c r="B17" s="4"/>
      <c r="C17" s="4"/>
      <c r="D17" s="5">
        <f>122.10</f>
      </c>
      <c r="E17" s="4"/>
      <c r="F17" s="4"/>
      <c r="G17" s="5">
        <f>263.00</f>
      </c>
      <c r="H17" s="5">
        <f>83.50</f>
      </c>
      <c r="I17" s="5">
        <f>83.50</f>
      </c>
      <c r="J17" s="4"/>
      <c r="K17" s="5">
        <f>((((((((B17)+(C17))+(D17))+(E17))+(F17))+(G17))+(H17))+(I17))+(J17)</f>
      </c>
    </row>
    <row r="18">
      <c r="A18" t="s" s="3">
        <v>22</v>
      </c>
      <c r="B18" s="5">
        <f>3481.44</f>
      </c>
      <c r="C18" s="5">
        <f>4600.60</f>
      </c>
      <c r="D18" s="5">
        <f>2167.58</f>
      </c>
      <c r="E18" s="5">
        <f>3827.36</f>
      </c>
      <c r="F18" s="5">
        <f>28128.23</f>
      </c>
      <c r="G18" s="5">
        <f>12726.74</f>
      </c>
      <c r="H18" s="5">
        <f>5240.77</f>
      </c>
      <c r="I18" s="5">
        <f>12583.14</f>
      </c>
      <c r="J18" s="4"/>
      <c r="K18" s="5">
        <f>((((((((B18)+(C18))+(D18))+(E18))+(F18))+(G18))+(H18))+(I18))+(J18)</f>
      </c>
    </row>
    <row r="19">
      <c r="A19" t="s" s="3">
        <v>23</v>
      </c>
      <c r="B19" s="5">
        <f>1.00</f>
      </c>
      <c r="C19" s="5">
        <f>23.68</f>
      </c>
      <c r="D19" s="5">
        <f>1.00</f>
      </c>
      <c r="E19" s="5">
        <f>1.00</f>
      </c>
      <c r="F19" s="5">
        <f>1.00</f>
      </c>
      <c r="G19" s="5">
        <f>1.00</f>
      </c>
      <c r="H19" s="5">
        <f>21.00</f>
      </c>
      <c r="I19" s="5">
        <f>1.00</f>
      </c>
      <c r="J19" s="4"/>
      <c r="K19" s="5">
        <f>((((((((B19)+(C19))+(D19))+(E19))+(F19))+(G19))+(H19))+(I19))+(J19)</f>
      </c>
    </row>
    <row r="20">
      <c r="A20" t="s" s="3">
        <v>24</v>
      </c>
      <c r="B20" s="5">
        <f>500.00</f>
      </c>
      <c r="C20" s="5">
        <f>500.00</f>
      </c>
      <c r="D20" s="5">
        <f>500.00</f>
      </c>
      <c r="E20" s="5">
        <f>500.00</f>
      </c>
      <c r="F20" s="5">
        <f>600.00</f>
      </c>
      <c r="G20" s="5">
        <f>600.00</f>
      </c>
      <c r="H20" s="5">
        <f>600.00</f>
      </c>
      <c r="I20" s="5">
        <f>600.00</f>
      </c>
      <c r="J20" s="4"/>
      <c r="K20" s="5">
        <f>((((((((B20)+(C20))+(D20))+(E20))+(F20))+(G20))+(H20))+(I20))+(J20)</f>
      </c>
    </row>
    <row r="21">
      <c r="A21" t="s" s="3">
        <v>25</v>
      </c>
      <c r="B21" s="5">
        <f>1478.06</f>
      </c>
      <c r="C21" s="5">
        <f>1002.75</f>
      </c>
      <c r="D21" s="5">
        <f>1289.75</f>
      </c>
      <c r="E21" s="5">
        <f>910.08</f>
      </c>
      <c r="F21" s="5">
        <f>1158.35</f>
      </c>
      <c r="G21" s="5">
        <f>1003.51</f>
      </c>
      <c r="H21" s="5">
        <f>1196.27</f>
      </c>
      <c r="I21" s="5">
        <f>1090.21</f>
      </c>
      <c r="J21" s="4"/>
      <c r="K21" s="5">
        <f>((((((((B21)+(C21))+(D21))+(E21))+(F21))+(G21))+(H21))+(I21))+(J21)</f>
      </c>
    </row>
    <row r="22">
      <c r="A22" t="s" s="3">
        <v>26</v>
      </c>
      <c r="B22" s="5">
        <f>500.00</f>
      </c>
      <c r="C22" s="4"/>
      <c r="D22" s="4"/>
      <c r="E22" s="4"/>
      <c r="F22" s="4"/>
      <c r="G22" s="4"/>
      <c r="H22" s="4"/>
      <c r="I22" s="4"/>
      <c r="J22" s="4"/>
      <c r="K22" s="5">
        <f>((((((((B22)+(C22))+(D22))+(E22))+(F22))+(G22))+(H22))+(I22))+(J22)</f>
      </c>
    </row>
    <row r="23">
      <c r="A23" t="s" s="3">
        <v>27</v>
      </c>
      <c r="B23" s="4"/>
      <c r="C23" s="4"/>
      <c r="D23" s="5">
        <f>247.00</f>
      </c>
      <c r="E23" s="4"/>
      <c r="F23" s="5">
        <f>200.00</f>
      </c>
      <c r="G23" s="5">
        <f>247.00</f>
      </c>
      <c r="H23" s="5">
        <f>1447.00</f>
      </c>
      <c r="I23" s="4"/>
      <c r="J23" s="4"/>
      <c r="K23" s="5">
        <f>((((((((B23)+(C23))+(D23))+(E23))+(F23))+(G23))+(H23))+(I23))+(J23)</f>
      </c>
    </row>
    <row r="24">
      <c r="A24" t="s" s="3">
        <v>28</v>
      </c>
      <c r="B24" s="4"/>
      <c r="C24" s="5">
        <f>7467.46</f>
      </c>
      <c r="D24" s="5">
        <f>13423.05</f>
      </c>
      <c r="E24" s="5">
        <f>548.81</f>
      </c>
      <c r="F24" s="5">
        <f>26.80</f>
      </c>
      <c r="G24" s="5">
        <f>980.40</f>
      </c>
      <c r="H24" s="5">
        <f>56360.34</f>
      </c>
      <c r="I24" s="5">
        <f>11141.03</f>
      </c>
      <c r="J24" s="4"/>
      <c r="K24" s="5">
        <f>((((((((B24)+(C24))+(D24))+(E24))+(F24))+(G24))+(H24))+(I24))+(J24)</f>
      </c>
    </row>
    <row r="25">
      <c r="A25" t="s" s="3">
        <v>29</v>
      </c>
      <c r="B25" s="4"/>
      <c r="C25" s="4"/>
      <c r="D25" s="4"/>
      <c r="E25" s="4"/>
      <c r="F25" s="5">
        <f>250.00</f>
      </c>
      <c r="G25" s="4"/>
      <c r="H25" s="4"/>
      <c r="I25" s="4"/>
      <c r="J25" s="4"/>
      <c r="K25" s="5">
        <f>((((((((B25)+(C25))+(D25))+(E25))+(F25))+(G25))+(H25))+(I25))+(J25)</f>
      </c>
    </row>
    <row r="26">
      <c r="A26" t="s" s="3">
        <v>30</v>
      </c>
      <c r="B26" s="4"/>
      <c r="C26" s="4"/>
      <c r="D26" s="4"/>
      <c r="E26" s="5">
        <f>100.00</f>
      </c>
      <c r="F26" s="4"/>
      <c r="G26" s="4"/>
      <c r="H26" s="5">
        <f>100.00</f>
      </c>
      <c r="I26" s="5">
        <f>50.00</f>
      </c>
      <c r="J26" s="4"/>
      <c r="K26" s="5">
        <f>((((((((B26)+(C26))+(D26))+(E26))+(F26))+(G26))+(H26))+(I26))+(J26)</f>
      </c>
    </row>
    <row r="27">
      <c r="A27" t="s" s="3">
        <v>31</v>
      </c>
      <c r="B27" s="5">
        <f>100.00</f>
      </c>
      <c r="C27" s="5">
        <f>75.00</f>
      </c>
      <c r="D27" s="5">
        <f>871.50</f>
      </c>
      <c r="E27" s="5">
        <f>267.00</f>
      </c>
      <c r="F27" s="5">
        <f>25.00</f>
      </c>
      <c r="G27" s="5">
        <f>491.00</f>
      </c>
      <c r="H27" s="5">
        <f>532.50</f>
      </c>
      <c r="I27" s="5">
        <f>382.00</f>
      </c>
      <c r="J27" s="4"/>
      <c r="K27" s="5">
        <f>((((((((B27)+(C27))+(D27))+(E27))+(F27))+(G27))+(H27))+(I27))+(J27)</f>
      </c>
    </row>
    <row r="28">
      <c r="A28" t="s" s="3">
        <v>32</v>
      </c>
      <c r="B28" s="5">
        <f>280.00</f>
      </c>
      <c r="C28" s="5">
        <f>560.00</f>
      </c>
      <c r="D28" s="5">
        <f>280.00</f>
      </c>
      <c r="E28" s="5">
        <f>560.00</f>
      </c>
      <c r="F28" s="5">
        <f>280.00</f>
      </c>
      <c r="G28" s="4"/>
      <c r="H28" s="5">
        <f>560.00</f>
      </c>
      <c r="I28" s="5">
        <f>290.74</f>
      </c>
      <c r="J28" s="4"/>
      <c r="K28" s="5">
        <f>((((((((B28)+(C28))+(D28))+(E28))+(F28))+(G28))+(H28))+(I28))+(J28)</f>
      </c>
    </row>
    <row r="29">
      <c r="A29" t="s" s="3">
        <v>33</v>
      </c>
      <c r="B29" s="4"/>
      <c r="C29" s="4"/>
      <c r="D29" s="4"/>
      <c r="E29" s="5">
        <f>3371.01</f>
      </c>
      <c r="F29" s="5">
        <f>6488.06</f>
      </c>
      <c r="G29" s="5">
        <f>3555.08</f>
      </c>
      <c r="H29" s="5">
        <f>3244.03</f>
      </c>
      <c r="I29" s="5">
        <f>3244.03</f>
      </c>
      <c r="J29" s="4"/>
      <c r="K29" s="5">
        <f>((((((((B29)+(C29))+(D29))+(E29))+(F29))+(G29))+(H29))+(I29))+(J29)</f>
      </c>
    </row>
    <row r="30">
      <c r="A30" t="s" s="3">
        <v>34</v>
      </c>
      <c r="B30" s="5">
        <f>7709.35</f>
      </c>
      <c r="C30" s="5">
        <f>10881.95</f>
      </c>
      <c r="D30" s="5">
        <f>6128.47</f>
      </c>
      <c r="E30" s="5">
        <f>6152.59</f>
      </c>
      <c r="F30" s="5">
        <f>5430.46</f>
      </c>
      <c r="G30" s="5">
        <f>2102.36</f>
      </c>
      <c r="H30" s="5">
        <f>8622.29</f>
      </c>
      <c r="I30" s="5">
        <f>6556.09</f>
      </c>
      <c r="J30" s="4"/>
      <c r="K30" s="5">
        <f>((((((((B30)+(C30))+(D30))+(E30))+(F30))+(G30))+(H30))+(I30))+(J30)</f>
      </c>
    </row>
    <row r="31">
      <c r="A31" t="s" s="3">
        <v>35</v>
      </c>
      <c r="B31" s="4"/>
      <c r="C31" s="4"/>
      <c r="D31" s="5">
        <f>10669.50</f>
      </c>
      <c r="E31" s="4"/>
      <c r="F31" s="4"/>
      <c r="G31" s="4"/>
      <c r="H31" s="4"/>
      <c r="I31" s="4"/>
      <c r="J31" s="4"/>
      <c r="K31" s="5">
        <f>((((((((B31)+(C31))+(D31))+(E31))+(F31))+(G31))+(H31))+(I31))+(J31)</f>
      </c>
    </row>
    <row r="32">
      <c r="A32" t="s" s="3">
        <v>36</v>
      </c>
      <c r="B32" s="5">
        <f>1039.73</f>
      </c>
      <c r="C32" s="5">
        <f>1017.90</f>
      </c>
      <c r="D32" s="5">
        <f>894.53</f>
      </c>
      <c r="E32" s="5">
        <f>942.86</f>
      </c>
      <c r="F32" s="5">
        <f>917.36</f>
      </c>
      <c r="G32" s="5">
        <f>891.61</f>
      </c>
      <c r="H32" s="5">
        <f>865.62</f>
      </c>
      <c r="I32" s="5">
        <f>701.37</f>
      </c>
      <c r="J32" s="4"/>
      <c r="K32" s="5">
        <f>((((((((B32)+(C32))+(D32))+(E32))+(F32))+(G32))+(H32))+(I32))+(J32)</f>
      </c>
    </row>
    <row r="33">
      <c r="A33" t="s" s="3">
        <v>37</v>
      </c>
      <c r="B33" s="5">
        <f>480.29</f>
      </c>
      <c r="C33" s="5">
        <f>921.14</f>
      </c>
      <c r="D33" s="5">
        <f>658.69</f>
      </c>
      <c r="E33" s="5">
        <f>430.47</f>
      </c>
      <c r="F33" s="5">
        <f>391.51</f>
      </c>
      <c r="G33" s="5">
        <f>376.80</f>
      </c>
      <c r="H33" s="5">
        <f>694.87</f>
      </c>
      <c r="I33" s="5">
        <f>300.65</f>
      </c>
      <c r="J33" s="4"/>
      <c r="K33" s="5">
        <f>((((((((B33)+(C33))+(D33))+(E33))+(F33))+(G33))+(H33))+(I33))+(J33)</f>
      </c>
    </row>
    <row r="34">
      <c r="A34" t="s" s="3">
        <v>38</v>
      </c>
      <c r="B34" s="5">
        <f>405.31</f>
      </c>
      <c r="C34" s="4"/>
      <c r="D34" s="4"/>
      <c r="E34" s="4"/>
      <c r="F34" s="4"/>
      <c r="G34" s="4"/>
      <c r="H34" s="4"/>
      <c r="I34" s="4"/>
      <c r="J34" s="4"/>
      <c r="K34" s="5">
        <f>((((((((B34)+(C34))+(D34))+(E34))+(F34))+(G34))+(H34))+(I34))+(J34)</f>
      </c>
    </row>
    <row r="35">
      <c r="A35" t="s" s="3">
        <v>39</v>
      </c>
      <c r="B35" s="4"/>
      <c r="C35" s="4"/>
      <c r="D35" s="4"/>
      <c r="E35" s="4"/>
      <c r="F35" s="4"/>
      <c r="G35" s="5">
        <f>4.34</f>
      </c>
      <c r="H35" s="5">
        <f>28.20</f>
      </c>
      <c r="I35" s="4"/>
      <c r="J35" s="4"/>
      <c r="K35" s="5">
        <f>((((((((B35)+(C35))+(D35))+(E35))+(F35))+(G35))+(H35))+(I35))+(J35)</f>
      </c>
    </row>
    <row r="36">
      <c r="A36" t="s" s="3">
        <v>40</v>
      </c>
      <c r="B36" s="5">
        <f>489.84</f>
      </c>
      <c r="C36" s="5">
        <f>412.59</f>
      </c>
      <c r="D36" s="5">
        <f>603.58</f>
      </c>
      <c r="E36" s="5">
        <f>161.59</f>
      </c>
      <c r="F36" s="5">
        <f>268.70</f>
      </c>
      <c r="G36" s="5">
        <f>274.18</f>
      </c>
      <c r="H36" s="5">
        <f>995.64</f>
      </c>
      <c r="I36" s="5">
        <f>653.36</f>
      </c>
      <c r="J36" s="4"/>
      <c r="K36" s="5">
        <f>((((((((B36)+(C36))+(D36))+(E36))+(F36))+(G36))+(H36))+(I36))+(J36)</f>
      </c>
    </row>
    <row r="37">
      <c r="A37" t="s" s="3">
        <v>41</v>
      </c>
      <c r="B37" s="5">
        <f>94.63</f>
      </c>
      <c r="C37" s="5">
        <f>29.32</f>
      </c>
      <c r="D37" s="5">
        <f>55.00</f>
      </c>
      <c r="E37" s="5">
        <f>23.08</f>
      </c>
      <c r="F37" s="5">
        <f>64.39</f>
      </c>
      <c r="G37" s="5">
        <f>155.72</f>
      </c>
      <c r="H37" s="5">
        <f>52.90</f>
      </c>
      <c r="I37" s="4"/>
      <c r="J37" s="4"/>
      <c r="K37" s="5">
        <f>((((((((B37)+(C37))+(D37))+(E37))+(F37))+(G37))+(H37))+(I37))+(J37)</f>
      </c>
    </row>
    <row r="38">
      <c r="A38" t="s" s="3">
        <v>42</v>
      </c>
      <c r="B38" s="5">
        <f>5168.11</f>
      </c>
      <c r="C38" s="4"/>
      <c r="D38" s="4"/>
      <c r="E38" s="4"/>
      <c r="F38" s="4"/>
      <c r="G38" s="4"/>
      <c r="H38" s="4"/>
      <c r="I38" s="4"/>
      <c r="J38" s="4"/>
      <c r="K38" s="5">
        <f>((((((((B38)+(C38))+(D38))+(E38))+(F38))+(G38))+(H38))+(I38))+(J38)</f>
      </c>
    </row>
    <row r="39">
      <c r="A39" t="s" s="3">
        <v>43</v>
      </c>
      <c r="B39" s="5">
        <f>1343.26</f>
      </c>
      <c r="C39" s="5">
        <f>181.75</f>
      </c>
      <c r="D39" s="5">
        <f>57.16</f>
      </c>
      <c r="E39" s="5">
        <f>183.63</f>
      </c>
      <c r="F39" s="5">
        <f>201.64</f>
      </c>
      <c r="G39" s="5">
        <f>698.72</f>
      </c>
      <c r="H39" s="5">
        <f>225.32</f>
      </c>
      <c r="I39" s="5">
        <f>211.10</f>
      </c>
      <c r="J39" s="4"/>
      <c r="K39" s="5">
        <f>((((((((B39)+(C39))+(D39))+(E39))+(F39))+(G39))+(H39))+(I39))+(J39)</f>
      </c>
    </row>
    <row r="40">
      <c r="A40" t="s" s="3">
        <v>44</v>
      </c>
      <c r="B40" s="5">
        <f>37.07</f>
      </c>
      <c r="C40" s="4"/>
      <c r="D40" s="5">
        <f>208.78</f>
      </c>
      <c r="E40" s="5">
        <f>160.75</f>
      </c>
      <c r="F40" s="5">
        <f>261.65</f>
      </c>
      <c r="G40" s="5">
        <f>117.57</f>
      </c>
      <c r="H40" s="5">
        <f>79.77</f>
      </c>
      <c r="I40" s="5">
        <f>34.38</f>
      </c>
      <c r="J40" s="4"/>
      <c r="K40" s="5">
        <f>((((((((B40)+(C40))+(D40))+(E40))+(F40))+(G40))+(H40))+(I40))+(J40)</f>
      </c>
    </row>
    <row r="41">
      <c r="A41" t="s" s="3">
        <v>45</v>
      </c>
      <c r="B41" s="4"/>
      <c r="C41" s="4"/>
      <c r="D41" s="4"/>
      <c r="E41" s="4"/>
      <c r="F41" s="4"/>
      <c r="G41" s="4"/>
      <c r="H41" s="4"/>
      <c r="I41" s="4"/>
      <c r="J41" s="4"/>
      <c r="K41" s="5">
        <f>((((((((B41)+(C41))+(D41))+(E41))+(F41))+(G41))+(H41))+(I41))+(J41)</f>
      </c>
    </row>
    <row r="42">
      <c r="A42" t="s" s="3">
        <v>46</v>
      </c>
      <c r="B42" s="5">
        <f>6539.84</f>
      </c>
      <c r="C42" s="5">
        <f>8136.64</f>
      </c>
      <c r="D42" s="5">
        <f>13682.93</f>
      </c>
      <c r="E42" s="5">
        <f>7933.07</f>
      </c>
      <c r="F42" s="5">
        <f>7696.99</f>
      </c>
      <c r="G42" s="5">
        <f>8013.77</f>
      </c>
      <c r="H42" s="5">
        <f>7726.09</f>
      </c>
      <c r="I42" s="5">
        <f>12779.70</f>
      </c>
      <c r="J42" s="4"/>
      <c r="K42" s="5">
        <f>((((((((B42)+(C42))+(D42))+(E42))+(F42))+(G42))+(H42))+(I42))+(J42)</f>
      </c>
    </row>
    <row r="43">
      <c r="A43" t="s" s="3">
        <v>47</v>
      </c>
      <c r="B43" s="5">
        <f>77998.80</f>
      </c>
      <c r="C43" s="5">
        <f>96149.63</f>
      </c>
      <c r="D43" s="5">
        <f>145999.93</f>
      </c>
      <c r="E43" s="5">
        <f>97184.09</f>
      </c>
      <c r="F43" s="5">
        <f>96044.70</f>
      </c>
      <c r="G43" s="5">
        <f>101787.69</f>
      </c>
      <c r="H43" s="5">
        <f>97044.81</f>
      </c>
      <c r="I43" s="5">
        <f>161883.94</f>
      </c>
      <c r="J43" s="4"/>
      <c r="K43" s="5">
        <f>((((((((B43)+(C43))+(D43))+(E43))+(F43))+(G43))+(H43))+(I43))+(J43)</f>
      </c>
    </row>
    <row r="44">
      <c r="A44" t="s" s="3">
        <v>48</v>
      </c>
      <c r="B44" s="6">
        <f>((B41)+(B42))+(B43)</f>
      </c>
      <c r="C44" s="6">
        <f>((C41)+(C42))+(C43)</f>
      </c>
      <c r="D44" s="6">
        <f>((D41)+(D42))+(D43)</f>
      </c>
      <c r="E44" s="6">
        <f>((E41)+(E42))+(E43)</f>
      </c>
      <c r="F44" s="6">
        <f>((F41)+(F42))+(F43)</f>
      </c>
      <c r="G44" s="6">
        <f>((G41)+(G42))+(G43)</f>
      </c>
      <c r="H44" s="6">
        <f>((H41)+(H42))+(H43)</f>
      </c>
      <c r="I44" s="6">
        <f>((I41)+(I42))+(I43)</f>
      </c>
      <c r="J44" s="6">
        <f>((J41)+(J42))+(J43)</f>
      </c>
      <c r="K44" s="6">
        <f>((((((((B44)+(C44))+(D44))+(E44))+(F44))+(G44))+(H44))+(I44))+(J44)</f>
      </c>
    </row>
    <row r="45">
      <c r="A45" t="s" s="3">
        <v>49</v>
      </c>
      <c r="B45" s="5">
        <f>119.63</f>
      </c>
      <c r="C45" s="5">
        <f>60.96</f>
      </c>
      <c r="D45" s="5">
        <f>115.99</f>
      </c>
      <c r="E45" s="5">
        <f>15.99</f>
      </c>
      <c r="F45" s="5">
        <f>165.99</f>
      </c>
      <c r="G45" s="5">
        <f>15.99</f>
      </c>
      <c r="H45" s="5">
        <f>225.69</f>
      </c>
      <c r="I45" s="5">
        <f>34.56</f>
      </c>
      <c r="J45" s="4"/>
      <c r="K45" s="5">
        <f>((((((((B45)+(C45))+(D45))+(E45))+(F45))+(G45))+(H45))+(I45))+(J45)</f>
      </c>
    </row>
    <row r="46">
      <c r="A46" t="s" s="3">
        <v>50</v>
      </c>
      <c r="B46" s="4"/>
      <c r="C46" s="4"/>
      <c r="D46" s="4"/>
      <c r="E46" s="4"/>
      <c r="F46" s="5">
        <f>1300.00</f>
      </c>
      <c r="G46" s="4"/>
      <c r="H46" s="5">
        <f>1300.00</f>
      </c>
      <c r="I46" s="5">
        <f>650.00</f>
      </c>
      <c r="J46" s="4"/>
      <c r="K46" s="5">
        <f>((((((((B46)+(C46))+(D46))+(E46))+(F46))+(G46))+(H46))+(I46))+(J46)</f>
      </c>
    </row>
    <row r="47">
      <c r="A47" t="s" s="3">
        <v>51</v>
      </c>
      <c r="B47" s="4"/>
      <c r="C47" s="4"/>
      <c r="D47" s="4"/>
      <c r="E47" s="4"/>
      <c r="F47" s="4"/>
      <c r="G47" s="5">
        <f>375.00</f>
      </c>
      <c r="H47" s="4"/>
      <c r="I47" s="4"/>
      <c r="J47" s="4"/>
      <c r="K47" s="5">
        <f>((((((((B47)+(C47))+(D47))+(E47))+(F47))+(G47))+(H47))+(I47))+(J47)</f>
      </c>
    </row>
    <row r="48">
      <c r="A48" t="s" s="3">
        <v>52</v>
      </c>
      <c r="B48" s="5">
        <f>12.95</f>
      </c>
      <c r="C48" s="4"/>
      <c r="D48" s="4"/>
      <c r="E48" s="4"/>
      <c r="F48" s="4"/>
      <c r="G48" s="5">
        <f>354.32</f>
      </c>
      <c r="H48" s="5">
        <f>50.65</f>
      </c>
      <c r="I48" s="5">
        <f>59.14</f>
      </c>
      <c r="J48" s="4"/>
      <c r="K48" s="5">
        <f>((((((((B48)+(C48))+(D48))+(E48))+(F48))+(G48))+(H48))+(I48))+(J48)</f>
      </c>
    </row>
    <row r="49">
      <c r="A49" t="s" s="3">
        <v>53</v>
      </c>
      <c r="B49" s="5">
        <f>688.62</f>
      </c>
      <c r="C49" s="5">
        <f>882.00</f>
      </c>
      <c r="D49" s="5">
        <f>3141.24</f>
      </c>
      <c r="E49" s="4"/>
      <c r="F49" s="5">
        <f>1570.62</f>
      </c>
      <c r="G49" s="5">
        <f>2645.06</f>
      </c>
      <c r="H49" s="4"/>
      <c r="I49" s="5">
        <f>2259.24</f>
      </c>
      <c r="J49" s="4"/>
      <c r="K49" s="5">
        <f>((((((((B49)+(C49))+(D49))+(E49))+(F49))+(G49))+(H49))+(I49))+(J49)</f>
      </c>
    </row>
    <row r="50">
      <c r="A50" t="s" s="3">
        <v>54</v>
      </c>
      <c r="B50" s="4"/>
      <c r="C50" s="4"/>
      <c r="D50" s="4"/>
      <c r="E50" s="5">
        <f>750.00</f>
      </c>
      <c r="F50" s="4"/>
      <c r="G50" s="5">
        <f>852.80</f>
      </c>
      <c r="H50" s="4"/>
      <c r="I50" s="4"/>
      <c r="J50" s="4"/>
      <c r="K50" s="5">
        <f>((((((((B50)+(C50))+(D50))+(E50))+(F50))+(G50))+(H50))+(I50))+(J50)</f>
      </c>
    </row>
    <row r="51">
      <c r="A51" t="s" s="3">
        <v>55</v>
      </c>
      <c r="B51" s="6">
        <f>(B49)+(B50)</f>
      </c>
      <c r="C51" s="6">
        <f>(C49)+(C50)</f>
      </c>
      <c r="D51" s="6">
        <f>(D49)+(D50)</f>
      </c>
      <c r="E51" s="6">
        <f>(E49)+(E50)</f>
      </c>
      <c r="F51" s="6">
        <f>(F49)+(F50)</f>
      </c>
      <c r="G51" s="6">
        <f>(G49)+(G50)</f>
      </c>
      <c r="H51" s="6">
        <f>(H49)+(H50)</f>
      </c>
      <c r="I51" s="6">
        <f>(I49)+(I50)</f>
      </c>
      <c r="J51" s="6">
        <f>(J49)+(J50)</f>
      </c>
      <c r="K51" s="6">
        <f>((((((((B51)+(C51))+(D51))+(E51))+(F51))+(G51))+(H51))+(I51))+(J51)</f>
      </c>
    </row>
    <row r="52">
      <c r="A52" t="s" s="3">
        <v>56</v>
      </c>
      <c r="B52" s="4"/>
      <c r="C52" s="5">
        <f>799.80</f>
      </c>
      <c r="D52" s="5">
        <f>293.00</f>
      </c>
      <c r="E52" s="5">
        <f>913.31</f>
      </c>
      <c r="F52" s="5">
        <f>311.79</f>
      </c>
      <c r="G52" s="5">
        <f>566.32</f>
      </c>
      <c r="H52" s="4"/>
      <c r="I52" s="5">
        <f>41.30</f>
      </c>
      <c r="J52" s="4"/>
      <c r="K52" s="5">
        <f>((((((((B52)+(C52))+(D52))+(E52))+(F52))+(G52))+(H52))+(I52))+(J52)</f>
      </c>
    </row>
    <row r="53">
      <c r="A53" t="s" s="3">
        <v>57</v>
      </c>
      <c r="B53" s="4"/>
      <c r="C53" s="4"/>
      <c r="D53" s="5">
        <f>604.97</f>
      </c>
      <c r="E53" s="5">
        <f>268.00</f>
      </c>
      <c r="F53" s="5">
        <f>425.88</f>
      </c>
      <c r="G53" s="4"/>
      <c r="H53" s="4"/>
      <c r="I53" s="4"/>
      <c r="J53" s="4"/>
      <c r="K53" s="5">
        <f>((((((((B53)+(C53))+(D53))+(E53))+(F53))+(G53))+(H53))+(I53))+(J53)</f>
      </c>
    </row>
    <row r="54">
      <c r="A54" t="s" s="3">
        <v>58</v>
      </c>
      <c r="B54" s="5">
        <f>1623.00</f>
      </c>
      <c r="C54" s="5">
        <f>1623.00</f>
      </c>
      <c r="D54" s="5">
        <f>1623.00</f>
      </c>
      <c r="E54" s="5">
        <f>1623.00</f>
      </c>
      <c r="F54" s="5">
        <f>1623.00</f>
      </c>
      <c r="G54" s="5">
        <f>1623.00</f>
      </c>
      <c r="H54" s="5">
        <f>39.90</f>
      </c>
      <c r="I54" s="4"/>
      <c r="J54" s="4"/>
      <c r="K54" s="5">
        <f>((((((((B54)+(C54))+(D54))+(E54))+(F54))+(G54))+(H54))+(I54))+(J54)</f>
      </c>
    </row>
    <row r="55">
      <c r="A55" t="s" s="3">
        <v>59</v>
      </c>
      <c r="B55" s="5">
        <f>134.00</f>
      </c>
      <c r="C55" s="5">
        <f>159.50</f>
      </c>
      <c r="D55" s="5">
        <f>130.50</f>
      </c>
      <c r="E55" s="5">
        <f>153.50</f>
      </c>
      <c r="F55" s="5">
        <f>153.50</f>
      </c>
      <c r="G55" s="5">
        <f>155.00</f>
      </c>
      <c r="H55" s="5">
        <f>158.00</f>
      </c>
      <c r="I55" s="5">
        <f>167.00</f>
      </c>
      <c r="J55" s="4"/>
      <c r="K55" s="5">
        <f>((((((((B55)+(C55))+(D55))+(E55))+(F55))+(G55))+(H55))+(I55))+(J55)</f>
      </c>
    </row>
    <row r="56">
      <c r="A56" t="s" s="3">
        <v>60</v>
      </c>
      <c r="B56" s="5">
        <f>523.98</f>
      </c>
      <c r="C56" s="5">
        <f>1078.98</f>
      </c>
      <c r="D56" s="5">
        <f>1006.98</f>
      </c>
      <c r="E56" s="5">
        <f>523.98</f>
      </c>
      <c r="F56" s="5">
        <f>1078.98</f>
      </c>
      <c r="G56" s="5">
        <f>523.98</f>
      </c>
      <c r="H56" s="5">
        <f>1023.98</f>
      </c>
      <c r="I56" s="5">
        <f>1591.93</f>
      </c>
      <c r="J56" s="4"/>
      <c r="K56" s="5">
        <f>((((((((B56)+(C56))+(D56))+(E56))+(F56))+(G56))+(H56))+(I56))+(J56)</f>
      </c>
    </row>
    <row r="57">
      <c r="A57" t="s" s="3">
        <v>61</v>
      </c>
      <c r="B57" s="5">
        <f>569.00</f>
      </c>
      <c r="C57" s="5">
        <f>3741.74</f>
      </c>
      <c r="D57" s="4"/>
      <c r="E57" s="4"/>
      <c r="F57" s="5">
        <f>576.44</f>
      </c>
      <c r="G57" s="4"/>
      <c r="H57" s="4"/>
      <c r="I57" s="4"/>
      <c r="J57" s="4"/>
      <c r="K57" s="5">
        <f>((((((((B57)+(C57))+(D57))+(E57))+(F57))+(G57))+(H57))+(I57))+(J57)</f>
      </c>
    </row>
    <row r="58">
      <c r="A58" t="s" s="3">
        <v>62</v>
      </c>
      <c r="B58" s="4"/>
      <c r="C58" s="4"/>
      <c r="D58" s="4"/>
      <c r="E58" s="4"/>
      <c r="F58" s="4"/>
      <c r="G58" s="5">
        <f>2851.00</f>
      </c>
      <c r="H58" s="4"/>
      <c r="I58" s="4"/>
      <c r="J58" s="4"/>
      <c r="K58" s="5">
        <f>((((((((B58)+(C58))+(D58))+(E58))+(F58))+(G58))+(H58))+(I58))+(J58)</f>
      </c>
    </row>
    <row r="59">
      <c r="A59" t="s" s="3">
        <v>63</v>
      </c>
      <c r="B59" s="6">
        <f>(B57)+(B58)</f>
      </c>
      <c r="C59" s="6">
        <f>(C57)+(C58)</f>
      </c>
      <c r="D59" s="6">
        <f>(D57)+(D58)</f>
      </c>
      <c r="E59" s="6">
        <f>(E57)+(E58)</f>
      </c>
      <c r="F59" s="6">
        <f>(F57)+(F58)</f>
      </c>
      <c r="G59" s="6">
        <f>(G57)+(G58)</f>
      </c>
      <c r="H59" s="6">
        <f>(H57)+(H58)</f>
      </c>
      <c r="I59" s="6">
        <f>(I57)+(I58)</f>
      </c>
      <c r="J59" s="6">
        <f>(J57)+(J58)</f>
      </c>
      <c r="K59" s="6">
        <f>((((((((B59)+(C59))+(D59))+(E59))+(F59))+(G59))+(H59))+(I59))+(J59)</f>
      </c>
    </row>
    <row r="60">
      <c r="A60" t="s" s="3">
        <v>64</v>
      </c>
      <c r="B60" s="4"/>
      <c r="C60" s="4"/>
      <c r="D60" s="4"/>
      <c r="E60" s="5">
        <f>-478.56</f>
      </c>
      <c r="F60" s="5">
        <f>2377.05</f>
      </c>
      <c r="G60" s="5">
        <f>137.78</f>
      </c>
      <c r="H60" s="5">
        <f>430.64</f>
      </c>
      <c r="I60" s="5">
        <f>144.16</f>
      </c>
      <c r="J60" s="4"/>
      <c r="K60" s="5">
        <f>((((((((B60)+(C60))+(D60))+(E60))+(F60))+(G60))+(H60))+(I60))+(J60)</f>
      </c>
    </row>
    <row r="61">
      <c r="A61" t="s" s="3">
        <v>65</v>
      </c>
      <c r="B61" s="5">
        <f>105.73</f>
      </c>
      <c r="C61" s="4"/>
      <c r="D61" s="5">
        <f>513.20</f>
      </c>
      <c r="E61" s="5">
        <f>279.68</f>
      </c>
      <c r="F61" s="5">
        <f>719.99</f>
      </c>
      <c r="G61" s="5">
        <f>406.39</f>
      </c>
      <c r="H61" s="5">
        <f>171.71</f>
      </c>
      <c r="I61" s="5">
        <f>595.40</f>
      </c>
      <c r="J61" s="4"/>
      <c r="K61" s="5">
        <f>((((((((B61)+(C61))+(D61))+(E61))+(F61))+(G61))+(H61))+(I61))+(J61)</f>
      </c>
    </row>
    <row r="62">
      <c r="A62" t="s" s="3">
        <v>66</v>
      </c>
      <c r="B62" s="6">
        <f>(((((((((((((((((((((((((((((((((((((((((B13)+(B14))+(B15))+(B16))+(B17))+(B18))+(B19))+(B20))+(B21))+(B22))+(B23))+(B24))+(B25))+(B26))+(B27))+(B28))+(B29))+(B30))+(B31))+(B32))+(B33))+(B34))+(B35))+(B36))+(B37))+(B38))+(B39))+(B40))+(B44))+(B45))+(B46))+(B47))+(B48))+(B51))+(B52))+(B53))+(B54))+(B55))+(B56))+(B59))+(B60))+(B61)</f>
      </c>
      <c r="C62" s="6">
        <f>(((((((((((((((((((((((((((((((((((((((((C13)+(C14))+(C15))+(C16))+(C17))+(C18))+(C19))+(C20))+(C21))+(C22))+(C23))+(C24))+(C25))+(C26))+(C27))+(C28))+(C29))+(C30))+(C31))+(C32))+(C33))+(C34))+(C35))+(C36))+(C37))+(C38))+(C39))+(C40))+(C44))+(C45))+(C46))+(C47))+(C48))+(C51))+(C52))+(C53))+(C54))+(C55))+(C56))+(C59))+(C60))+(C61)</f>
      </c>
      <c r="D62" s="6">
        <f>(((((((((((((((((((((((((((((((((((((((((D13)+(D14))+(D15))+(D16))+(D17))+(D18))+(D19))+(D20))+(D21))+(D22))+(D23))+(D24))+(D25))+(D26))+(D27))+(D28))+(D29))+(D30))+(D31))+(D32))+(D33))+(D34))+(D35))+(D36))+(D37))+(D38))+(D39))+(D40))+(D44))+(D45))+(D46))+(D47))+(D48))+(D51))+(D52))+(D53))+(D54))+(D55))+(D56))+(D59))+(D60))+(D61)</f>
      </c>
      <c r="E62" s="6">
        <f>(((((((((((((((((((((((((((((((((((((((((E13)+(E14))+(E15))+(E16))+(E17))+(E18))+(E19))+(E20))+(E21))+(E22))+(E23))+(E24))+(E25))+(E26))+(E27))+(E28))+(E29))+(E30))+(E31))+(E32))+(E33))+(E34))+(E35))+(E36))+(E37))+(E38))+(E39))+(E40))+(E44))+(E45))+(E46))+(E47))+(E48))+(E51))+(E52))+(E53))+(E54))+(E55))+(E56))+(E59))+(E60))+(E61)</f>
      </c>
      <c r="F62" s="6">
        <f>(((((((((((((((((((((((((((((((((((((((((F13)+(F14))+(F15))+(F16))+(F17))+(F18))+(F19))+(F20))+(F21))+(F22))+(F23))+(F24))+(F25))+(F26))+(F27))+(F28))+(F29))+(F30))+(F31))+(F32))+(F33))+(F34))+(F35))+(F36))+(F37))+(F38))+(F39))+(F40))+(F44))+(F45))+(F46))+(F47))+(F48))+(F51))+(F52))+(F53))+(F54))+(F55))+(F56))+(F59))+(F60))+(F61)</f>
      </c>
      <c r="G62" s="6">
        <f>(((((((((((((((((((((((((((((((((((((((((G13)+(G14))+(G15))+(G16))+(G17))+(G18))+(G19))+(G20))+(G21))+(G22))+(G23))+(G24))+(G25))+(G26))+(G27))+(G28))+(G29))+(G30))+(G31))+(G32))+(G33))+(G34))+(G35))+(G36))+(G37))+(G38))+(G39))+(G40))+(G44))+(G45))+(G46))+(G47))+(G48))+(G51))+(G52))+(G53))+(G54))+(G55))+(G56))+(G59))+(G60))+(G61)</f>
      </c>
      <c r="H62" s="6">
        <f>(((((((((((((((((((((((((((((((((((((((((H13)+(H14))+(H15))+(H16))+(H17))+(H18))+(H19))+(H20))+(H21))+(H22))+(H23))+(H24))+(H25))+(H26))+(H27))+(H28))+(H29))+(H30))+(H31))+(H32))+(H33))+(H34))+(H35))+(H36))+(H37))+(H38))+(H39))+(H40))+(H44))+(H45))+(H46))+(H47))+(H48))+(H51))+(H52))+(H53))+(H54))+(H55))+(H56))+(H59))+(H60))+(H61)</f>
      </c>
      <c r="I62" s="6">
        <f>(((((((((((((((((((((((((((((((((((((((((I13)+(I14))+(I15))+(I16))+(I17))+(I18))+(I19))+(I20))+(I21))+(I22))+(I23))+(I24))+(I25))+(I26))+(I27))+(I28))+(I29))+(I30))+(I31))+(I32))+(I33))+(I34))+(I35))+(I36))+(I37))+(I38))+(I39))+(I40))+(I44))+(I45))+(I46))+(I47))+(I48))+(I51))+(I52))+(I53))+(I54))+(I55))+(I56))+(I59))+(I60))+(I61)</f>
      </c>
      <c r="J62" s="6">
        <f>(((((((((((((((((((((((((((((((((((((((((J13)+(J14))+(J15))+(J16))+(J17))+(J18))+(J19))+(J20))+(J21))+(J22))+(J23))+(J24))+(J25))+(J26))+(J27))+(J28))+(J29))+(J30))+(J31))+(J32))+(J33))+(J34))+(J35))+(J36))+(J37))+(J38))+(J39))+(J40))+(J44))+(J45))+(J46))+(J47))+(J48))+(J51))+(J52))+(J53))+(J54))+(J55))+(J56))+(J59))+(J60))+(J61)</f>
      </c>
      <c r="K62" s="6">
        <f>((((((((B62)+(C62))+(D62))+(E62))+(F62))+(G62))+(H62))+(I62))+(J62)</f>
      </c>
    </row>
    <row r="63">
      <c r="A63" t="s" s="3">
        <v>67</v>
      </c>
      <c r="B63" s="6">
        <f>(B11)-(B62)</f>
      </c>
      <c r="C63" s="6">
        <f>(C11)-(C62)</f>
      </c>
      <c r="D63" s="6">
        <f>(D11)-(D62)</f>
      </c>
      <c r="E63" s="6">
        <f>(E11)-(E62)</f>
      </c>
      <c r="F63" s="6">
        <f>(F11)-(F62)</f>
      </c>
      <c r="G63" s="6">
        <f>(G11)-(G62)</f>
      </c>
      <c r="H63" s="6">
        <f>(H11)-(H62)</f>
      </c>
      <c r="I63" s="6">
        <f>(I11)-(I62)</f>
      </c>
      <c r="J63" s="6">
        <f>(J11)-(J62)</f>
      </c>
      <c r="K63" s="6">
        <f>((((((((B63)+(C63))+(D63))+(E63))+(F63))+(G63))+(H63))+(I63))+(J63)</f>
      </c>
    </row>
    <row r="64">
      <c r="A64" t="s" s="3">
        <v>68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>
      <c r="A65" t="s" s="3">
        <v>69</v>
      </c>
      <c r="B65" s="4"/>
      <c r="C65" s="4"/>
      <c r="D65" s="4"/>
      <c r="E65" s="4"/>
      <c r="F65" s="4"/>
      <c r="G65" s="4"/>
      <c r="H65" s="4"/>
      <c r="I65" s="5">
        <f>3838.18</f>
      </c>
      <c r="J65" s="4"/>
      <c r="K65" s="5">
        <f>((((((((B65)+(C65))+(D65))+(E65))+(F65))+(G65))+(H65))+(I65))+(J65)</f>
      </c>
    </row>
    <row r="66">
      <c r="A66" t="s" s="3">
        <v>70</v>
      </c>
      <c r="B66" s="6">
        <f>B65</f>
      </c>
      <c r="C66" s="6">
        <f>C65</f>
      </c>
      <c r="D66" s="6">
        <f>D65</f>
      </c>
      <c r="E66" s="6">
        <f>E65</f>
      </c>
      <c r="F66" s="6">
        <f>F65</f>
      </c>
      <c r="G66" s="6">
        <f>G65</f>
      </c>
      <c r="H66" s="6">
        <f>H65</f>
      </c>
      <c r="I66" s="6">
        <f>I65</f>
      </c>
      <c r="J66" s="6">
        <f>J65</f>
      </c>
      <c r="K66" s="6">
        <f>((((((((B66)+(C66))+(D66))+(E66))+(F66))+(G66))+(H66))+(I66))+(J66)</f>
      </c>
    </row>
    <row r="67">
      <c r="A67" t="s" s="3">
        <v>71</v>
      </c>
      <c r="B67" s="6">
        <f>(0)-(B66)</f>
      </c>
      <c r="C67" s="6">
        <f>(0)-(C66)</f>
      </c>
      <c r="D67" s="6">
        <f>(0)-(D66)</f>
      </c>
      <c r="E67" s="6">
        <f>(0)-(E66)</f>
      </c>
      <c r="F67" s="6">
        <f>(0)-(F66)</f>
      </c>
      <c r="G67" s="6">
        <f>(0)-(G66)</f>
      </c>
      <c r="H67" s="6">
        <f>(0)-(H66)</f>
      </c>
      <c r="I67" s="6">
        <f>(0)-(I66)</f>
      </c>
      <c r="J67" s="6">
        <f>(0)-(J66)</f>
      </c>
      <c r="K67" s="6">
        <f>((((((((B67)+(C67))+(D67))+(E67))+(F67))+(G67))+(H67))+(I67))+(J67)</f>
      </c>
    </row>
    <row r="68">
      <c r="A68" t="s" s="3">
        <v>72</v>
      </c>
      <c r="B68" s="7">
        <f>(B63)+(B67)</f>
      </c>
      <c r="C68" s="7">
        <f>(C63)+(C67)</f>
      </c>
      <c r="D68" s="7">
        <f>(D63)+(D67)</f>
      </c>
      <c r="E68" s="7">
        <f>(E63)+(E67)</f>
      </c>
      <c r="F68" s="7">
        <f>(F63)+(F67)</f>
      </c>
      <c r="G68" s="7">
        <f>(G63)+(G67)</f>
      </c>
      <c r="H68" s="7">
        <f>(H63)+(H67)</f>
      </c>
      <c r="I68" s="7">
        <f>(I63)+(I67)</f>
      </c>
      <c r="J68" s="7">
        <f>(J63)+(J67)</f>
      </c>
      <c r="K68" s="7">
        <f>((((((((B68)+(C68))+(D68))+(E68))+(F68))+(G68))+(H68))+(I68))+(J68)</f>
      </c>
    </row>
    <row r="69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</row>
    <row r="72">
      <c r="A72" s="8" t="s">
        <v>73</v>
      </c>
      <c r="B72"/>
      <c r="C72"/>
      <c r="D72"/>
      <c r="E72"/>
      <c r="F72"/>
      <c r="G72"/>
      <c r="H72"/>
      <c r="I72"/>
      <c r="J72"/>
      <c r="K72"/>
    </row>
  </sheetData>
  <mergeCells>
    <mergeCell ref="A72:K72"/>
    <mergeCell ref="A1:K1"/>
    <mergeCell ref="A2:K2"/>
    <mergeCell ref="A3:K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2018-09-04T18:47:09Z</dcterms:created>
  <dc:creator>Apache POI</dc:creator>
</cp:coreProperties>
</file>